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Assumptions" sheetId="2" state="visible" r:id="rId4"/>
    <sheet name="AR Register" sheetId="3" state="visible" r:id="rId5"/>
    <sheet name="AP Register" sheetId="4" state="visible" r:id="rId6"/>
    <sheet name="Forecast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<sst xmlns="http://schemas.openxmlformats.org/spreadsheetml/2006/main" count="64" uniqueCount="61">
  <si>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 xml:space="preserve">XPlor — 13-Week Cash Flow Forecast Template</t>
  </si>
  <si>
    <t xml:space="preserve">How to use this file (30–45 minutes the first time, ~20 minutes every Monday):</t>
  </si>
  <si>
    <t xml:space="preserve">1. Assumptions tab — enter your opening cash, minimum cash buffer, and forecast start date (a Monday).</t>
  </si>
  <si>
    <t xml:space="preserve">2. AR Register — list every open customer invoice. For each, enter the week (1–13) you REALISTICALLY expect the cash, not the due date.</t>
  </si>
  <si>
    <t xml:space="preserve">3. AP Register — list every bill and obligation, with the week you will actually pay it.</t>
  </si>
  <si>
    <t xml:space="preserve">4. Recurring rows on the Forecast tab — payroll on the weeks payroll actually lands, rent, and other repeating outflows.</t>
  </si>
  <si>
    <t xml:space="preserve">5. Read the Ending Cash row. Any week highlighted red is below your buffer — that date is your real deadline.</t>
  </si>
  <si>
    <t xml:space="preserve">6. Every Monday: enter last week's actual ending cash in the Actuals row, shift Week 1 forward, and re-enter the registers' timing.</t>
  </si>
  <si>
    <t xml:space="preserve">Color key:</t>
  </si>
  <si>
    <t xml:space="preserve">BLUE text = a number you type.   BLACK text = a formula, leave it alone.   YELLOW fill = key assumption, check it weekly.</t>
  </si>
  <si>
    <t xml:space="preserve">Every example value in this file is fictional and marked blue — replace it with your own.</t>
  </si>
  <si>
    <t xml:space="preserve">Built by XPlor (xplor.so) — the AI CFO that maintains this forecast for you, measured against reality every Monday.</t>
  </si>
  <si>
    <t xml:space="preserve">Assumptions</t>
  </si>
  <si>
    <t xml:space="preserve">Forecast start date (a Monday)</t>
  </si>
  <si>
    <t xml:space="preserve">Week 1 begins here. Dates on the Forecast tab compute from this cell.</t>
  </si>
  <si>
    <t xml:space="preserve">Opening cash (all accounts)</t>
  </si>
  <si>
    <t xml:space="preserve">Sum of every operating account balance on the start date.</t>
  </si>
  <si>
    <t xml:space="preserve">Minimum cash buffer</t>
  </si>
  <si>
    <t xml:space="preserve">The floor you refuse to cross — typically one full payroll cycle plus rent.</t>
  </si>
  <si>
    <t xml:space="preserve">Payroll per run</t>
  </si>
  <si>
    <t xml:space="preserve">Total cash out per payroll run, including taxes and benefits.</t>
  </si>
  <si>
    <t xml:space="preserve">Rent (monthly)</t>
  </si>
  <si>
    <t xml:space="preserve">Entered on the weeks it is actually paid on the Forecast tab.</t>
  </si>
  <si>
    <t xml:space="preserve">Assumption values above are fictional examples (source: this template's author, for format only).</t>
  </si>
  <si>
    <t xml:space="preserve">Customer / invoice</t>
  </si>
  <si>
    <t xml:space="preserve">Amount</t>
  </si>
  <si>
    <t xml:space="preserve">Due date</t>
  </si>
  <si>
    <t xml:space="preserve">Expected week (1–13)</t>
  </si>
  <si>
    <t xml:space="preserve">Notes</t>
  </si>
  <si>
    <t xml:space="preserve">Acme Industrial — INV-1041</t>
  </si>
  <si>
    <t xml:space="preserve">Says processing; realistic = wk 3</t>
  </si>
  <si>
    <t xml:space="preserve">Bluepeak Services — INV-1044</t>
  </si>
  <si>
    <t xml:space="preserve">Corvid Media — INV-1038</t>
  </si>
  <si>
    <t xml:space="preserve">30 days late; chase weekly</t>
  </si>
  <si>
    <t xml:space="preserve">Example rows above are fictional — replace with your open invoices. Add rows freely; the Forecast tab reads rows 2–200.</t>
  </si>
  <si>
    <t xml:space="preserve">Vendor / bill</t>
  </si>
  <si>
    <t xml:space="preserve">Planned week (1–13)</t>
  </si>
  <si>
    <t xml:space="preserve">Insurance annual premium</t>
  </si>
  <si>
    <t xml:space="preserve">Lands once a year — do not average it</t>
  </si>
  <si>
    <t xml:space="preserve">Quarterly estimated tax</t>
  </si>
  <si>
    <t xml:space="preserve">Vendor — Net 30 stack</t>
  </si>
  <si>
    <t xml:space="preserve">Deferrable to wk 4 if tight</t>
  </si>
  <si>
    <t xml:space="preserve">Example rows above are fictional — replace with your bills. Add rows freely; the Forecast tab reads rows 2–200.</t>
  </si>
  <si>
    <t xml:space="preserve">13-Week Cash Flow Forecast</t>
  </si>
  <si>
    <t xml:space="preserve">Week</t>
  </si>
  <si>
    <t xml:space="preserve">Week starting</t>
  </si>
  <si>
    <t xml:space="preserve">Opening cash</t>
  </si>
  <si>
    <t xml:space="preserve">AR collections (from AR Register)</t>
  </si>
  <si>
    <t xml:space="preserve">Other inflows</t>
  </si>
  <si>
    <t xml:space="preserve">Total in</t>
  </si>
  <si>
    <t xml:space="preserve">Payroll</t>
  </si>
  <si>
    <t xml:space="preserve">Rent</t>
  </si>
  <si>
    <t xml:space="preserve">Bills (from AP Register)</t>
  </si>
  <si>
    <t xml:space="preserve">Other outflows</t>
  </si>
  <si>
    <t xml:space="preserve">Total out</t>
  </si>
  <si>
    <t xml:space="preserve">Net cash flow</t>
  </si>
  <si>
    <t xml:space="preserve">Ending cash</t>
  </si>
  <si>
    <t xml:space="preserve">Minimum buffer</t>
  </si>
  <si>
    <t xml:space="preserve">Status</t>
  </si>
  <si>
    <t xml:space="preserve">Actual ending cash (fill in each Monday)</t>
  </si>
  <si>
    <t xml:space="preserve">Recurring pattern shown (payroll odd weeks, rent every 4th week) is an example — align it to your real calendar. Every blue cell is yours to edit.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</si>
</sst>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\$#,##0;&quot;($&quot;#,##0\);\-"/>
    <numFmt numFmtId="167" formatCode="mmm\ d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9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 diagonalUp="false" diagonalDown="false">
      <left/>
      <right/>
      <top style="thin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FC7CE"/>
        </patternFill>
      </fill>
    </dxf>
  </dxf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1" customFormat="false" ht="17.35" hidden="false" customHeight="false" outlineLevel="0" collapsed="false">
      <c r="B1" s="1" t="s">
        <v>0</v>
      </c>
    </row>
    <row r="2" customFormat="false" ht="15" hidden="false" customHeight="false" outlineLevel="0" collapsed="false">
      <c r="B2" s="2"/>
    </row>
    <row r="3" customFormat="false" ht="15" hidden="false" customHeight="false" outlineLevel="0" collapsed="false">
      <c r="B3" s="3" t="s">
        <v>1</v>
      </c>
    </row>
    <row r="4" customFormat="false" ht="15" hidden="false" customHeight="false" outlineLevel="0" collapsed="false">
      <c r="B4" s="2" t="s">
        <v>2</v>
      </c>
    </row>
    <row r="5" customFormat="false" ht="26.85" hidden="false" customHeight="false" outlineLevel="0" collapsed="false">
      <c r="B5" s="2" t="s">
        <v>3</v>
      </c>
    </row>
    <row r="6" customFormat="false" ht="15" hidden="false" customHeight="false" outlineLevel="0" collapsed="false">
      <c r="B6" s="2" t="s">
        <v>4</v>
      </c>
    </row>
    <row r="7" customFormat="false" ht="26.85" hidden="false" customHeight="false" outlineLevel="0" collapsed="false">
      <c r="B7" s="2" t="s">
        <v>5</v>
      </c>
    </row>
    <row r="8" customFormat="false" ht="26.85" hidden="false" customHeight="false" outlineLevel="0" collapsed="false">
      <c r="B8" s="2" t="s">
        <v>6</v>
      </c>
    </row>
    <row r="9" customFormat="false" ht="26.85" hidden="false" customHeight="false" outlineLevel="0" collapsed="false">
      <c r="B9" s="2" t="s">
        <v>7</v>
      </c>
    </row>
    <row r="10" customFormat="false" ht="15" hidden="false" customHeight="false" outlineLevel="0" collapsed="false">
      <c r="B10" s="2"/>
    </row>
    <row r="11" customFormat="false" ht="15" hidden="false" customHeight="false" outlineLevel="0" collapsed="false">
      <c r="B11" s="3" t="s">
        <v>8</v>
      </c>
    </row>
    <row r="12" customFormat="false" ht="26.85" hidden="false" customHeight="false" outlineLevel="0" collapsed="false">
      <c r="B12" s="2" t="s">
        <v>9</v>
      </c>
    </row>
    <row r="13" customFormat="false" ht="15" hidden="false" customHeight="false" outlineLevel="0" collapsed="false">
      <c r="B13" s="2"/>
    </row>
    <row r="14" customFormat="false" ht="15" hidden="false" customHeight="false" outlineLevel="0" collapsed="false">
      <c r="B14" s="2" t="s">
        <v>10</v>
      </c>
    </row>
    <row r="15" customFormat="false" ht="26.85" hidden="false" customHeight="false" outlineLevel="0" collapsed="false">
      <c r="B15" s="2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60"/>
  </cols>
  <sheetData>
    <row r="1" customFormat="false" ht="17.35" hidden="false" customHeight="false" outlineLevel="0" collapsed="false">
      <c r="A1" s="4" t="s">
        <v>12</v>
      </c>
    </row>
    <row r="3" customFormat="false" ht="15" hidden="false" customHeight="false" outlineLevel="0" collapsed="false">
      <c r="A3" s="5" t="s">
        <v>13</v>
      </c>
      <c r="B3" s="6" t="n">
        <v>46237</v>
      </c>
      <c r="C3" s="7" t="s">
        <v>14</v>
      </c>
    </row>
    <row r="4" customFormat="false" ht="15" hidden="false" customHeight="false" outlineLevel="0" collapsed="false">
      <c r="A4" s="5" t="s">
        <v>15</v>
      </c>
      <c r="B4" s="8" t="n">
        <v>480000</v>
      </c>
      <c r="C4" s="7" t="s">
        <v>16</v>
      </c>
    </row>
    <row r="5" customFormat="false" ht="15" hidden="false" customHeight="false" outlineLevel="0" collapsed="false">
      <c r="A5" s="5" t="s">
        <v>17</v>
      </c>
      <c r="B5" s="8" t="n">
        <v>150000</v>
      </c>
      <c r="C5" s="7" t="s">
        <v>18</v>
      </c>
    </row>
    <row r="6" customFormat="false" ht="15" hidden="false" customHeight="false" outlineLevel="0" collapsed="false">
      <c r="A6" s="5" t="s">
        <v>19</v>
      </c>
      <c r="B6" s="8" t="n">
        <v>38000</v>
      </c>
      <c r="C6" s="7" t="s">
        <v>20</v>
      </c>
    </row>
    <row r="7" customFormat="false" ht="15" hidden="false" customHeight="false" outlineLevel="0" collapsed="false">
      <c r="A7" s="5" t="s">
        <v>21</v>
      </c>
      <c r="B7" s="8" t="n">
        <v>12000</v>
      </c>
      <c r="C7" s="7" t="s">
        <v>22</v>
      </c>
    </row>
    <row r="9" customFormat="false" ht="15" hidden="false" customHeight="false" outlineLevel="0" collapsed="false">
      <c r="A9" s="7" t="s">
        <v>23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3" min="2" style="0" width="14"/>
    <col collapsed="false" customWidth="true" hidden="false" outlineLevel="0" max="4" min="4" style="0" width="12"/>
    <col collapsed="false" customWidth="true" hidden="false" outlineLevel="0" max="5" min="5" style="0" width="16"/>
  </cols>
  <sheetData>
    <row r="1" customFormat="false" ht="15" hidden="false" customHeight="false" outlineLevel="0" collapsed="false">
      <c r="A1" s="9" t="s">
        <v>24</v>
      </c>
      <c r="B1" s="9" t="s">
        <v>25</v>
      </c>
      <c r="C1" s="9" t="s">
        <v>26</v>
      </c>
      <c r="D1" s="9" t="s">
        <v>27</v>
      </c>
      <c r="E1" s="9" t="s">
        <v>28</v>
      </c>
    </row>
    <row r="2" customFormat="false" ht="15" hidden="false" customHeight="false" outlineLevel="0" collapsed="false">
      <c r="A2" s="10" t="s">
        <v>29</v>
      </c>
      <c r="B2" s="11" t="n">
        <v>45000</v>
      </c>
      <c r="C2" s="12" t="n">
        <v>46248</v>
      </c>
      <c r="D2" s="10" t="n">
        <v>3</v>
      </c>
      <c r="E2" s="7" t="s">
        <v>30</v>
      </c>
    </row>
    <row r="3" customFormat="false" ht="15" hidden="false" customHeight="false" outlineLevel="0" collapsed="false">
      <c r="A3" s="10" t="s">
        <v>31</v>
      </c>
      <c r="B3" s="11" t="n">
        <v>12500</v>
      </c>
      <c r="C3" s="12" t="n">
        <v>46241</v>
      </c>
      <c r="D3" s="10" t="n">
        <v>1</v>
      </c>
      <c r="E3" s="7"/>
    </row>
    <row r="4" customFormat="false" ht="15" hidden="false" customHeight="false" outlineLevel="0" collapsed="false">
      <c r="A4" s="10" t="s">
        <v>32</v>
      </c>
      <c r="B4" s="11" t="n">
        <v>22000</v>
      </c>
      <c r="C4" s="12" t="n">
        <v>46231</v>
      </c>
      <c r="D4" s="10" t="n">
        <v>4</v>
      </c>
      <c r="E4" s="7" t="s">
        <v>33</v>
      </c>
    </row>
    <row r="30" customFormat="false" ht="15" hidden="false" customHeight="false" outlineLevel="0" collapsed="false">
      <c r="A30" s="7" t="s">
        <v>34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3" min="2" style="0" width="14"/>
    <col collapsed="false" customWidth="true" hidden="false" outlineLevel="0" max="4" min="4" style="0" width="12"/>
    <col collapsed="false" customWidth="true" hidden="false" outlineLevel="0" max="5" min="5" style="0" width="16"/>
  </cols>
  <sheetData>
    <row r="1" customFormat="false" ht="15" hidden="false" customHeight="false" outlineLevel="0" collapsed="false">
      <c r="A1" s="9" t="s">
        <v>35</v>
      </c>
      <c r="B1" s="9" t="s">
        <v>25</v>
      </c>
      <c r="C1" s="9" t="s">
        <v>26</v>
      </c>
      <c r="D1" s="9" t="s">
        <v>36</v>
      </c>
      <c r="E1" s="9" t="s">
        <v>28</v>
      </c>
    </row>
    <row r="2" customFormat="false" ht="15" hidden="false" customHeight="false" outlineLevel="0" collapsed="false">
      <c r="A2" s="10" t="s">
        <v>37</v>
      </c>
      <c r="B2" s="11" t="n">
        <v>28000</v>
      </c>
      <c r="C2" s="12" t="n">
        <v>46251</v>
      </c>
      <c r="D2" s="10" t="n">
        <v>3</v>
      </c>
      <c r="E2" s="7" t="s">
        <v>38</v>
      </c>
    </row>
    <row r="3" customFormat="false" ht="15" hidden="false" customHeight="false" outlineLevel="0" collapsed="false">
      <c r="A3" s="10" t="s">
        <v>39</v>
      </c>
      <c r="B3" s="11" t="n">
        <v>41000</v>
      </c>
      <c r="C3" s="12" t="n">
        <v>46265</v>
      </c>
      <c r="D3" s="10" t="n">
        <v>5</v>
      </c>
      <c r="E3" s="7"/>
    </row>
    <row r="4" customFormat="false" ht="15" hidden="false" customHeight="false" outlineLevel="0" collapsed="false">
      <c r="A4" s="10" t="s">
        <v>40</v>
      </c>
      <c r="B4" s="11" t="n">
        <v>19000</v>
      </c>
      <c r="C4" s="12" t="n">
        <v>46244</v>
      </c>
      <c r="D4" s="10" t="n">
        <v>2</v>
      </c>
      <c r="E4" s="7" t="s">
        <v>41</v>
      </c>
    </row>
    <row r="30" customFormat="false" ht="15" hidden="false" customHeight="false" outlineLevel="0" collapsed="false">
      <c r="A30" s="7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14" min="2" style="0" width="13"/>
  </cols>
  <sheetData>
    <row r="1" customFormat="false" ht="17.35" hidden="false" customHeight="false" outlineLevel="0" collapsed="false">
      <c r="A1" s="4" t="s">
        <v>43</v>
      </c>
    </row>
    <row r="3" customFormat="false" ht="15" hidden="false" customHeight="false" outlineLevel="0" collapsed="false">
      <c r="A3" s="5" t="s">
        <v>44</v>
      </c>
      <c r="B3" s="13" t="n">
        <v>1</v>
      </c>
      <c r="C3" s="13" t="n">
        <v>2</v>
      </c>
      <c r="D3" s="13" t="n">
        <v>3</v>
      </c>
      <c r="E3" s="13" t="n">
        <v>4</v>
      </c>
      <c r="F3" s="13" t="n">
        <v>5</v>
      </c>
      <c r="G3" s="13" t="n">
        <v>6</v>
      </c>
      <c r="H3" s="13" t="n">
        <v>7</v>
      </c>
      <c r="I3" s="13" t="n">
        <v>8</v>
      </c>
      <c r="J3" s="13" t="n">
        <v>9</v>
      </c>
      <c r="K3" s="13" t="n">
        <v>10</v>
      </c>
      <c r="L3" s="13" t="n">
        <v>11</v>
      </c>
      <c r="M3" s="13" t="n">
        <v>12</v>
      </c>
      <c r="N3" s="13" t="n">
        <v>13</v>
      </c>
    </row>
    <row r="4" customFormat="false" ht="15" hidden="false" customHeight="false" outlineLevel="0" collapsed="false">
      <c r="A4" s="5" t="s">
        <v>45</v>
      </c>
      <c r="B4" s="14" t="n">
        <f aca="false">Assumptions!$B$3+(1-1)*7</f>
        <v>46237</v>
      </c>
      <c r="C4" s="14" t="n">
        <f aca="false">Assumptions!$B$3+(2-1)*7</f>
        <v>46244</v>
      </c>
      <c r="D4" s="14" t="n">
        <f aca="false">Assumptions!$B$3+(3-1)*7</f>
        <v>46251</v>
      </c>
      <c r="E4" s="14" t="n">
        <f aca="false">Assumptions!$B$3+(4-1)*7</f>
        <v>46258</v>
      </c>
      <c r="F4" s="14" t="n">
        <f aca="false">Assumptions!$B$3+(5-1)*7</f>
        <v>46265</v>
      </c>
      <c r="G4" s="14" t="n">
        <f aca="false">Assumptions!$B$3+(6-1)*7</f>
        <v>46272</v>
      </c>
      <c r="H4" s="14" t="n">
        <f aca="false">Assumptions!$B$3+(7-1)*7</f>
        <v>46279</v>
      </c>
      <c r="I4" s="14" t="n">
        <f aca="false">Assumptions!$B$3+(8-1)*7</f>
        <v>46286</v>
      </c>
      <c r="J4" s="14" t="n">
        <f aca="false">Assumptions!$B$3+(9-1)*7</f>
        <v>46293</v>
      </c>
      <c r="K4" s="14" t="n">
        <f aca="false">Assumptions!$B$3+(10-1)*7</f>
        <v>46300</v>
      </c>
      <c r="L4" s="14" t="n">
        <f aca="false">Assumptions!$B$3+(11-1)*7</f>
        <v>46307</v>
      </c>
      <c r="M4" s="14" t="n">
        <f aca="false">Assumptions!$B$3+(12-1)*7</f>
        <v>46314</v>
      </c>
      <c r="N4" s="14" t="n">
        <f aca="false">Assumptions!$B$3+(13-1)*7</f>
        <v>46321</v>
      </c>
    </row>
    <row r="6" customFormat="false" ht="15" hidden="false" customHeight="false" outlineLevel="0" collapsed="false">
      <c r="A6" s="15" t="s">
        <v>46</v>
      </c>
      <c r="B6" s="16" t="n">
        <f aca="false">Assumptions!$B$4</f>
        <v>480000</v>
      </c>
      <c r="C6" s="16" t="n">
        <f aca="false">B19</f>
        <v>442500</v>
      </c>
      <c r="D6" s="16" t="n">
        <f aca="false">C19</f>
        <v>423500</v>
      </c>
      <c r="E6" s="16" t="n">
        <f aca="false">D19</f>
        <v>402500</v>
      </c>
      <c r="F6" s="16" t="n">
        <f aca="false">E19</f>
        <v>424500</v>
      </c>
      <c r="G6" s="16" t="n">
        <f aca="false">F19</f>
        <v>333500</v>
      </c>
      <c r="H6" s="16" t="n">
        <f aca="false">G19</f>
        <v>333500</v>
      </c>
      <c r="I6" s="16" t="n">
        <f aca="false">H19</f>
        <v>295500</v>
      </c>
      <c r="J6" s="16" t="n">
        <f aca="false">I19</f>
        <v>295500</v>
      </c>
      <c r="K6" s="16" t="n">
        <f aca="false">J19</f>
        <v>245500</v>
      </c>
      <c r="L6" s="16" t="n">
        <f aca="false">K19</f>
        <v>245500</v>
      </c>
      <c r="M6" s="16" t="n">
        <f aca="false">L19</f>
        <v>207500</v>
      </c>
      <c r="N6" s="16" t="n">
        <f aca="false">M19</f>
        <v>207500</v>
      </c>
    </row>
    <row r="8" customFormat="false" ht="15" hidden="false" customHeight="false" outlineLevel="0" collapsed="false">
      <c r="A8" s="15" t="s">
        <v>47</v>
      </c>
      <c r="B8" s="16" t="n">
        <f aca="false">SUMIFS('AR Register'!$B$2:$B$200,'AR Register'!$D$2:$D$200,B$3)</f>
        <v>12500</v>
      </c>
      <c r="C8" s="16" t="n">
        <f aca="false">SUMIFS('AR Register'!$B$2:$B$200,'AR Register'!$D$2:$D$200,C$3)</f>
        <v>0</v>
      </c>
      <c r="D8" s="16" t="n">
        <f aca="false">SUMIFS('AR Register'!$B$2:$B$200,'AR Register'!$D$2:$D$200,D$3)</f>
        <v>45000</v>
      </c>
      <c r="E8" s="16" t="n">
        <f aca="false">SUMIFS('AR Register'!$B$2:$B$200,'AR Register'!$D$2:$D$200,E$3)</f>
        <v>22000</v>
      </c>
      <c r="F8" s="16" t="n">
        <f aca="false">SUMIFS('AR Register'!$B$2:$B$200,'AR Register'!$D$2:$D$200,F$3)</f>
        <v>0</v>
      </c>
      <c r="G8" s="16" t="n">
        <f aca="false">SUMIFS('AR Register'!$B$2:$B$200,'AR Register'!$D$2:$D$200,G$3)</f>
        <v>0</v>
      </c>
      <c r="H8" s="16" t="n">
        <f aca="false">SUMIFS('AR Register'!$B$2:$B$200,'AR Register'!$D$2:$D$200,H$3)</f>
        <v>0</v>
      </c>
      <c r="I8" s="16" t="n">
        <f aca="false">SUMIFS('AR Register'!$B$2:$B$200,'AR Register'!$D$2:$D$200,I$3)</f>
        <v>0</v>
      </c>
      <c r="J8" s="16" t="n">
        <f aca="false">SUMIFS('AR Register'!$B$2:$B$200,'AR Register'!$D$2:$D$200,J$3)</f>
        <v>0</v>
      </c>
      <c r="K8" s="16" t="n">
        <f aca="false">SUMIFS('AR Register'!$B$2:$B$200,'AR Register'!$D$2:$D$200,K$3)</f>
        <v>0</v>
      </c>
      <c r="L8" s="16" t="n">
        <f aca="false">SUMIFS('AR Register'!$B$2:$B$200,'AR Register'!$D$2:$D$200,L$3)</f>
        <v>0</v>
      </c>
      <c r="M8" s="16" t="n">
        <f aca="false">SUMIFS('AR Register'!$B$2:$B$200,'AR Register'!$D$2:$D$200,M$3)</f>
        <v>0</v>
      </c>
      <c r="N8" s="16" t="n">
        <f aca="false">SUMIFS('AR Register'!$B$2:$B$200,'AR Register'!$D$2:$D$200,N$3)</f>
        <v>0</v>
      </c>
    </row>
    <row r="9" customFormat="false" ht="15" hidden="false" customHeight="false" outlineLevel="0" collapsed="false">
      <c r="A9" s="15" t="s">
        <v>48</v>
      </c>
      <c r="B9" s="11" t="n">
        <v>0</v>
      </c>
      <c r="C9" s="11" t="n">
        <v>0</v>
      </c>
      <c r="D9" s="11" t="n">
        <v>0</v>
      </c>
      <c r="E9" s="11" t="n">
        <v>0</v>
      </c>
      <c r="F9" s="11" t="n">
        <v>0</v>
      </c>
      <c r="G9" s="11" t="n">
        <v>0</v>
      </c>
      <c r="H9" s="11" t="n">
        <v>0</v>
      </c>
      <c r="I9" s="11" t="n">
        <v>0</v>
      </c>
      <c r="J9" s="11" t="n">
        <v>0</v>
      </c>
      <c r="K9" s="11" t="n">
        <v>0</v>
      </c>
      <c r="L9" s="11" t="n">
        <v>0</v>
      </c>
      <c r="M9" s="11" t="n">
        <v>0</v>
      </c>
      <c r="N9" s="11" t="n">
        <v>0</v>
      </c>
    </row>
    <row r="10" customFormat="false" ht="15" hidden="false" customHeight="false" outlineLevel="0" collapsed="false">
      <c r="A10" s="5" t="s">
        <v>49</v>
      </c>
      <c r="B10" s="17" t="n">
        <f aca="false">B8+B9</f>
        <v>12500</v>
      </c>
      <c r="C10" s="17" t="n">
        <f aca="false">C8+C9</f>
        <v>0</v>
      </c>
      <c r="D10" s="17" t="n">
        <f aca="false">D8+D9</f>
        <v>45000</v>
      </c>
      <c r="E10" s="17" t="n">
        <f aca="false">E8+E9</f>
        <v>22000</v>
      </c>
      <c r="F10" s="17" t="n">
        <f aca="false">F8+F9</f>
        <v>0</v>
      </c>
      <c r="G10" s="17" t="n">
        <f aca="false">G8+G9</f>
        <v>0</v>
      </c>
      <c r="H10" s="17" t="n">
        <f aca="false">H8+H9</f>
        <v>0</v>
      </c>
      <c r="I10" s="17" t="n">
        <f aca="false">I8+I9</f>
        <v>0</v>
      </c>
      <c r="J10" s="17" t="n">
        <f aca="false">J8+J9</f>
        <v>0</v>
      </c>
      <c r="K10" s="17" t="n">
        <f aca="false">K8+K9</f>
        <v>0</v>
      </c>
      <c r="L10" s="17" t="n">
        <f aca="false">L8+L9</f>
        <v>0</v>
      </c>
      <c r="M10" s="17" t="n">
        <f aca="false">M8+M9</f>
        <v>0</v>
      </c>
      <c r="N10" s="17" t="n">
        <f aca="false">N8+N9</f>
        <v>0</v>
      </c>
    </row>
    <row r="12" customFormat="false" ht="15" hidden="false" customHeight="false" outlineLevel="0" collapsed="false">
      <c r="A12" s="15" t="s">
        <v>50</v>
      </c>
      <c r="B12" s="18" t="n">
        <f aca="false">Assumptions!$B$6</f>
        <v>38000</v>
      </c>
      <c r="C12" s="11" t="n">
        <v>0</v>
      </c>
      <c r="D12" s="18" t="n">
        <f aca="false">Assumptions!$B$6</f>
        <v>38000</v>
      </c>
      <c r="E12" s="11" t="n">
        <v>0</v>
      </c>
      <c r="F12" s="18" t="n">
        <f aca="false">Assumptions!$B$6</f>
        <v>38000</v>
      </c>
      <c r="G12" s="11" t="n">
        <v>0</v>
      </c>
      <c r="H12" s="18" t="n">
        <f aca="false">Assumptions!$B$6</f>
        <v>38000</v>
      </c>
      <c r="I12" s="11" t="n">
        <v>0</v>
      </c>
      <c r="J12" s="18" t="n">
        <f aca="false">Assumptions!$B$6</f>
        <v>38000</v>
      </c>
      <c r="K12" s="11" t="n">
        <v>0</v>
      </c>
      <c r="L12" s="18" t="n">
        <f aca="false">Assumptions!$B$6</f>
        <v>38000</v>
      </c>
      <c r="M12" s="11" t="n">
        <v>0</v>
      </c>
      <c r="N12" s="18" t="n">
        <f aca="false">Assumptions!$B$6</f>
        <v>38000</v>
      </c>
    </row>
    <row r="13" customFormat="false" ht="15" hidden="false" customHeight="false" outlineLevel="0" collapsed="false">
      <c r="A13" s="15" t="s">
        <v>51</v>
      </c>
      <c r="B13" s="18" t="n">
        <f aca="false">Assumptions!$B$7</f>
        <v>12000</v>
      </c>
      <c r="C13" s="11" t="n">
        <v>0</v>
      </c>
      <c r="D13" s="11" t="n">
        <v>0</v>
      </c>
      <c r="E13" s="11" t="n">
        <v>0</v>
      </c>
      <c r="F13" s="18" t="n">
        <f aca="false">Assumptions!$B$7</f>
        <v>12000</v>
      </c>
      <c r="G13" s="11" t="n">
        <v>0</v>
      </c>
      <c r="H13" s="11" t="n">
        <v>0</v>
      </c>
      <c r="I13" s="11" t="n">
        <v>0</v>
      </c>
      <c r="J13" s="18" t="n">
        <f aca="false">Assumptions!$B$7</f>
        <v>12000</v>
      </c>
      <c r="K13" s="11" t="n">
        <v>0</v>
      </c>
      <c r="L13" s="11" t="n">
        <v>0</v>
      </c>
      <c r="M13" s="11" t="n">
        <v>0</v>
      </c>
      <c r="N13" s="18" t="n">
        <f aca="false">Assumptions!$B$7</f>
        <v>12000</v>
      </c>
    </row>
    <row r="14" customFormat="false" ht="15" hidden="false" customHeight="false" outlineLevel="0" collapsed="false">
      <c r="A14" s="15" t="s">
        <v>52</v>
      </c>
      <c r="B14" s="16" t="n">
        <f aca="false">SUMIFS('AP Register'!$B$2:$B$200,'AP Register'!$D$2:$D$200,B$3)</f>
        <v>0</v>
      </c>
      <c r="C14" s="16" t="n">
        <f aca="false">SUMIFS('AP Register'!$B$2:$B$200,'AP Register'!$D$2:$D$200,C$3)</f>
        <v>19000</v>
      </c>
      <c r="D14" s="16" t="n">
        <f aca="false">SUMIFS('AP Register'!$B$2:$B$200,'AP Register'!$D$2:$D$200,D$3)</f>
        <v>28000</v>
      </c>
      <c r="E14" s="16" t="n">
        <f aca="false">SUMIFS('AP Register'!$B$2:$B$200,'AP Register'!$D$2:$D$200,E$3)</f>
        <v>0</v>
      </c>
      <c r="F14" s="16" t="n">
        <f aca="false">SUMIFS('AP Register'!$B$2:$B$200,'AP Register'!$D$2:$D$200,F$3)</f>
        <v>41000</v>
      </c>
      <c r="G14" s="16" t="n">
        <f aca="false">SUMIFS('AP Register'!$B$2:$B$200,'AP Register'!$D$2:$D$200,G$3)</f>
        <v>0</v>
      </c>
      <c r="H14" s="16" t="n">
        <f aca="false">SUMIFS('AP Register'!$B$2:$B$200,'AP Register'!$D$2:$D$200,H$3)</f>
        <v>0</v>
      </c>
      <c r="I14" s="16" t="n">
        <f aca="false">SUMIFS('AP Register'!$B$2:$B$200,'AP Register'!$D$2:$D$200,I$3)</f>
        <v>0</v>
      </c>
      <c r="J14" s="16" t="n">
        <f aca="false">SUMIFS('AP Register'!$B$2:$B$200,'AP Register'!$D$2:$D$200,J$3)</f>
        <v>0</v>
      </c>
      <c r="K14" s="16" t="n">
        <f aca="false">SUMIFS('AP Register'!$B$2:$B$200,'AP Register'!$D$2:$D$200,K$3)</f>
        <v>0</v>
      </c>
      <c r="L14" s="16" t="n">
        <f aca="false">SUMIFS('AP Register'!$B$2:$B$200,'AP Register'!$D$2:$D$200,L$3)</f>
        <v>0</v>
      </c>
      <c r="M14" s="16" t="n">
        <f aca="false">SUMIFS('AP Register'!$B$2:$B$200,'AP Register'!$D$2:$D$200,M$3)</f>
        <v>0</v>
      </c>
      <c r="N14" s="16" t="n">
        <f aca="false">SUMIFS('AP Register'!$B$2:$B$200,'AP Register'!$D$2:$D$200,N$3)</f>
        <v>0</v>
      </c>
    </row>
    <row r="15" customFormat="false" ht="15" hidden="false" customHeight="false" outlineLevel="0" collapsed="false">
      <c r="A15" s="15" t="s">
        <v>53</v>
      </c>
      <c r="B15" s="11" t="n">
        <v>0</v>
      </c>
      <c r="C15" s="11" t="n">
        <v>0</v>
      </c>
      <c r="D15" s="11" t="n">
        <v>0</v>
      </c>
      <c r="E15" s="11" t="n">
        <v>0</v>
      </c>
      <c r="F15" s="11" t="n">
        <v>0</v>
      </c>
      <c r="G15" s="11" t="n">
        <v>0</v>
      </c>
      <c r="H15" s="11" t="n">
        <v>0</v>
      </c>
      <c r="I15" s="11" t="n">
        <v>0</v>
      </c>
      <c r="J15" s="11" t="n">
        <v>0</v>
      </c>
      <c r="K15" s="11" t="n">
        <v>0</v>
      </c>
      <c r="L15" s="11" t="n">
        <v>0</v>
      </c>
      <c r="M15" s="11" t="n">
        <v>0</v>
      </c>
      <c r="N15" s="11" t="n">
        <v>0</v>
      </c>
    </row>
    <row r="16" customFormat="false" ht="15" hidden="false" customHeight="false" outlineLevel="0" collapsed="false">
      <c r="A16" s="5" t="s">
        <v>54</v>
      </c>
      <c r="B16" s="17" t="n">
        <f aca="false">B12+B13+B14+B15</f>
        <v>50000</v>
      </c>
      <c r="C16" s="17" t="n">
        <f aca="false">C12+C13+C14+C15</f>
        <v>19000</v>
      </c>
      <c r="D16" s="17" t="n">
        <f aca="false">D12+D13+D14+D15</f>
        <v>66000</v>
      </c>
      <c r="E16" s="17" t="n">
        <f aca="false">E12+E13+E14+E15</f>
        <v>0</v>
      </c>
      <c r="F16" s="17" t="n">
        <f aca="false">F12+F13+F14+F15</f>
        <v>91000</v>
      </c>
      <c r="G16" s="17" t="n">
        <f aca="false">G12+G13+G14+G15</f>
        <v>0</v>
      </c>
      <c r="H16" s="17" t="n">
        <f aca="false">H12+H13+H14+H15</f>
        <v>38000</v>
      </c>
      <c r="I16" s="17" t="n">
        <f aca="false">I12+I13+I14+I15</f>
        <v>0</v>
      </c>
      <c r="J16" s="17" t="n">
        <f aca="false">J12+J13+J14+J15</f>
        <v>50000</v>
      </c>
      <c r="K16" s="17" t="n">
        <f aca="false">K12+K13+K14+K15</f>
        <v>0</v>
      </c>
      <c r="L16" s="17" t="n">
        <f aca="false">L12+L13+L14+L15</f>
        <v>38000</v>
      </c>
      <c r="M16" s="17" t="n">
        <f aca="false">M12+M13+M14+M15</f>
        <v>0</v>
      </c>
      <c r="N16" s="17" t="n">
        <f aca="false">N12+N13+N14+N15</f>
        <v>50000</v>
      </c>
    </row>
    <row r="18" customFormat="false" ht="15" hidden="false" customHeight="false" outlineLevel="0" collapsed="false">
      <c r="A18" s="5" t="s">
        <v>55</v>
      </c>
      <c r="B18" s="17" t="n">
        <f aca="false">B10-B16</f>
        <v>-37500</v>
      </c>
      <c r="C18" s="17" t="n">
        <f aca="false">C10-C16</f>
        <v>-19000</v>
      </c>
      <c r="D18" s="17" t="n">
        <f aca="false">D10-D16</f>
        <v>-21000</v>
      </c>
      <c r="E18" s="17" t="n">
        <f aca="false">E10-E16</f>
        <v>22000</v>
      </c>
      <c r="F18" s="17" t="n">
        <f aca="false">F10-F16</f>
        <v>-91000</v>
      </c>
      <c r="G18" s="17" t="n">
        <f aca="false">G10-G16</f>
        <v>0</v>
      </c>
      <c r="H18" s="17" t="n">
        <f aca="false">H10-H16</f>
        <v>-38000</v>
      </c>
      <c r="I18" s="17" t="n">
        <f aca="false">I10-I16</f>
        <v>0</v>
      </c>
      <c r="J18" s="17" t="n">
        <f aca="false">J10-J16</f>
        <v>-50000</v>
      </c>
      <c r="K18" s="17" t="n">
        <f aca="false">K10-K16</f>
        <v>0</v>
      </c>
      <c r="L18" s="17" t="n">
        <f aca="false">L10-L16</f>
        <v>-38000</v>
      </c>
      <c r="M18" s="17" t="n">
        <f aca="false">M10-M16</f>
        <v>0</v>
      </c>
      <c r="N18" s="17" t="n">
        <f aca="false">N10-N16</f>
        <v>-50000</v>
      </c>
    </row>
    <row r="19" customFormat="false" ht="15" hidden="false" customHeight="false" outlineLevel="0" collapsed="false">
      <c r="A19" s="5" t="s">
        <v>56</v>
      </c>
      <c r="B19" s="19" t="n">
        <f aca="false">B6+B18</f>
        <v>442500</v>
      </c>
      <c r="C19" s="19" t="n">
        <f aca="false">C6+C18</f>
        <v>423500</v>
      </c>
      <c r="D19" s="19" t="n">
        <f aca="false">D6+D18</f>
        <v>402500</v>
      </c>
      <c r="E19" s="19" t="n">
        <f aca="false">E6+E18</f>
        <v>424500</v>
      </c>
      <c r="F19" s="19" t="n">
        <f aca="false">F6+F18</f>
        <v>333500</v>
      </c>
      <c r="G19" s="19" t="n">
        <f aca="false">G6+G18</f>
        <v>333500</v>
      </c>
      <c r="H19" s="19" t="n">
        <f aca="false">H6+H18</f>
        <v>295500</v>
      </c>
      <c r="I19" s="19" t="n">
        <f aca="false">I6+I18</f>
        <v>295500</v>
      </c>
      <c r="J19" s="19" t="n">
        <f aca="false">J6+J18</f>
        <v>245500</v>
      </c>
      <c r="K19" s="19" t="n">
        <f aca="false">K6+K18</f>
        <v>245500</v>
      </c>
      <c r="L19" s="19" t="n">
        <f aca="false">L6+L18</f>
        <v>207500</v>
      </c>
      <c r="M19" s="19" t="n">
        <f aca="false">M6+M18</f>
        <v>207500</v>
      </c>
      <c r="N19" s="19" t="n">
        <f aca="false">N6+N18</f>
        <v>157500</v>
      </c>
    </row>
    <row r="20" customFormat="false" ht="15" hidden="false" customHeight="false" outlineLevel="0" collapsed="false">
      <c r="A20" s="15" t="s">
        <v>57</v>
      </c>
      <c r="B20" s="16" t="n">
        <f aca="false">Assumptions!$B$5</f>
        <v>150000</v>
      </c>
      <c r="C20" s="16" t="n">
        <f aca="false">Assumptions!$B$5</f>
        <v>150000</v>
      </c>
      <c r="D20" s="16" t="n">
        <f aca="false">Assumptions!$B$5</f>
        <v>150000</v>
      </c>
      <c r="E20" s="16" t="n">
        <f aca="false">Assumptions!$B$5</f>
        <v>150000</v>
      </c>
      <c r="F20" s="16" t="n">
        <f aca="false">Assumptions!$B$5</f>
        <v>150000</v>
      </c>
      <c r="G20" s="16" t="n">
        <f aca="false">Assumptions!$B$5</f>
        <v>150000</v>
      </c>
      <c r="H20" s="16" t="n">
        <f aca="false">Assumptions!$B$5</f>
        <v>150000</v>
      </c>
      <c r="I20" s="16" t="n">
        <f aca="false">Assumptions!$B$5</f>
        <v>150000</v>
      </c>
      <c r="J20" s="16" t="n">
        <f aca="false">Assumptions!$B$5</f>
        <v>150000</v>
      </c>
      <c r="K20" s="16" t="n">
        <f aca="false">Assumptions!$B$5</f>
        <v>150000</v>
      </c>
      <c r="L20" s="16" t="n">
        <f aca="false">Assumptions!$B$5</f>
        <v>150000</v>
      </c>
      <c r="M20" s="16" t="n">
        <f aca="false">Assumptions!$B$5</f>
        <v>150000</v>
      </c>
      <c r="N20" s="16" t="n">
        <f aca="false">Assumptions!$B$5</f>
        <v>150000</v>
      </c>
    </row>
    <row r="21" customFormat="false" ht="15" hidden="false" customHeight="false" outlineLevel="0" collapsed="false">
      <c r="A21" s="15" t="s">
        <v>58</v>
      </c>
      <c r="B21" s="0" t="str">
        <f aca="false">IF(B19&lt;B20,"BELOW BUFFER","ok")</f>
        <v>ok</v>
      </c>
      <c r="C21" s="0" t="str">
        <f aca="false">IF(C19&lt;C20,"BELOW BUFFER","ok")</f>
        <v>ok</v>
      </c>
      <c r="D21" s="0" t="str">
        <f aca="false">IF(D19&lt;D20,"BELOW BUFFER","ok")</f>
        <v>ok</v>
      </c>
      <c r="E21" s="0" t="str">
        <f aca="false">IF(E19&lt;E20,"BELOW BUFFER","ok")</f>
        <v>ok</v>
      </c>
      <c r="F21" s="0" t="str">
        <f aca="false">IF(F19&lt;F20,"BELOW BUFFER","ok")</f>
        <v>ok</v>
      </c>
      <c r="G21" s="0" t="str">
        <f aca="false">IF(G19&lt;G20,"BELOW BUFFER","ok")</f>
        <v>ok</v>
      </c>
      <c r="H21" s="0" t="str">
        <f aca="false">IF(H19&lt;H20,"BELOW BUFFER","ok")</f>
        <v>ok</v>
      </c>
      <c r="I21" s="0" t="str">
        <f aca="false">IF(I19&lt;I20,"BELOW BUFFER","ok")</f>
        <v>ok</v>
      </c>
      <c r="J21" s="0" t="str">
        <f aca="false">IF(J19&lt;J20,"BELOW BUFFER","ok")</f>
        <v>ok</v>
      </c>
      <c r="K21" s="0" t="str">
        <f aca="false">IF(K19&lt;K20,"BELOW BUFFER","ok")</f>
        <v>ok</v>
      </c>
      <c r="L21" s="0" t="str">
        <f aca="false">IF(L19&lt;L20,"BELOW BUFFER","ok")</f>
        <v>ok</v>
      </c>
      <c r="M21" s="0" t="str">
        <f aca="false">IF(M19&lt;M20,"BELOW BUFFER","ok")</f>
        <v>ok</v>
      </c>
      <c r="N21" s="0" t="str">
        <f aca="false">IF(N19&lt;N20,"BELOW BUFFER","ok")</f>
        <v>ok</v>
      </c>
    </row>
    <row r="23" customFormat="false" ht="15" hidden="false" customHeight="false" outlineLevel="0" collapsed="false">
      <c r="A23" s="15" t="s">
        <v>59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5" customFormat="false" ht="15" hidden="false" customHeight="false" outlineLevel="0" collapsed="false">
      <c r="A25" s="7" t="s">
        <v>60</v>
      </c>
    </row>
  </sheetData>
  <conditionalFormatting sqref="B19:N19">
    <cfRule type="expression" priority="2" aboveAverage="0" equalAverage="0" bottom="0" percent="0" rank="0" text="" dxfId="0">
      <formula>B19&lt;B20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2026-07-30T17:58:21Z</dcterms:created>
  <dc:creator>openpyxl</dc:creator>
  <dc:description/>
  <dc:language>en-US</dc:language>
  <cp:lastModifiedBy/>
  <dcterms:modified xsi:type="dcterms:W3CDTF">2026-07-30T17:58:21Z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